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68" yWindow="32767" windowWidth="19260" windowHeight="10380" activeTab="0"/>
  </bookViews>
  <sheets>
    <sheet name="CN5815应用电路设计步骤" sheetId="1" r:id="rId1"/>
  </sheets>
  <definedNames/>
  <calcPr fullCalcOnLoad="1"/>
</workbook>
</file>

<file path=xl/sharedStrings.xml><?xml version="1.0" encoding="utf-8"?>
<sst xmlns="http://schemas.openxmlformats.org/spreadsheetml/2006/main" count="80" uniqueCount="69">
  <si>
    <t>D</t>
  </si>
  <si>
    <t>R3</t>
  </si>
  <si>
    <t>C1</t>
  </si>
  <si>
    <t>C2</t>
  </si>
  <si>
    <t>nF</t>
  </si>
  <si>
    <t>wp1</t>
  </si>
  <si>
    <t>wz1</t>
  </si>
  <si>
    <t>wz2</t>
  </si>
  <si>
    <t>wc</t>
  </si>
  <si>
    <t>Dmax</t>
  </si>
  <si>
    <t>Dmin</t>
  </si>
  <si>
    <t>Rout</t>
  </si>
  <si>
    <t>pF</t>
  </si>
  <si>
    <t>uH</t>
  </si>
  <si>
    <t>V</t>
  </si>
  <si>
    <t>A</t>
  </si>
  <si>
    <t>R2</t>
  </si>
  <si>
    <t>R1</t>
  </si>
  <si>
    <t>mV</t>
  </si>
  <si>
    <t>Ilpeak</t>
  </si>
  <si>
    <t>A</t>
  </si>
  <si>
    <t>Iin</t>
  </si>
  <si>
    <t>uF</t>
  </si>
  <si>
    <t>C5</t>
  </si>
  <si>
    <t>RCS</t>
  </si>
  <si>
    <t>Please Enter Design Specifications:</t>
  </si>
  <si>
    <t>Assume 150</t>
  </si>
  <si>
    <t>Maximum Voltage Ripple</t>
  </si>
  <si>
    <t>Typical Vin</t>
  </si>
  <si>
    <t>Maximum, max(Vin)</t>
  </si>
  <si>
    <t>Minimum, min(Vin)</t>
  </si>
  <si>
    <t>Vin=max(Vin)=min(Vin)</t>
  </si>
  <si>
    <t>Over Voltage Protection, Vout</t>
  </si>
  <si>
    <t>Circuit Design Procedures for CN5815</t>
  </si>
  <si>
    <t>D1</t>
  </si>
  <si>
    <t>ILED Current</t>
  </si>
  <si>
    <r>
      <t>Vin=Vin</t>
    </r>
    <r>
      <rPr>
        <sz val="16"/>
        <rFont val="宋体"/>
        <family val="0"/>
      </rPr>
      <t>（</t>
    </r>
    <r>
      <rPr>
        <sz val="16"/>
        <rFont val="Times Roman"/>
        <family val="1"/>
      </rPr>
      <t>max</t>
    </r>
    <r>
      <rPr>
        <sz val="16"/>
        <rFont val="宋体"/>
        <family val="0"/>
      </rPr>
      <t>）</t>
    </r>
    <r>
      <rPr>
        <sz val="16"/>
        <rFont val="Times Roman"/>
        <family val="1"/>
      </rPr>
      <t>=Vin</t>
    </r>
    <r>
      <rPr>
        <sz val="16"/>
        <rFont val="宋体"/>
        <family val="0"/>
      </rPr>
      <t>（</t>
    </r>
    <r>
      <rPr>
        <sz val="16"/>
        <rFont val="Times Roman"/>
        <family val="1"/>
      </rPr>
      <t>min</t>
    </r>
    <r>
      <rPr>
        <sz val="16"/>
        <rFont val="宋体"/>
        <family val="0"/>
      </rPr>
      <t>）</t>
    </r>
  </si>
  <si>
    <t>If DC Supply is used,</t>
  </si>
  <si>
    <t>1. Design FB Resistor Ladder</t>
  </si>
  <si>
    <t>kOhm</t>
  </si>
  <si>
    <t>Ratio is important.  Other values can be used.</t>
  </si>
  <si>
    <t>Schottky diode</t>
  </si>
  <si>
    <t>Assume the diode forward voltage is 0.35V</t>
  </si>
  <si>
    <t>2. Estimate Duty Cycle</t>
  </si>
  <si>
    <t>Round up</t>
  </si>
  <si>
    <t>4. Inductor</t>
  </si>
  <si>
    <t>L1 ≥</t>
  </si>
  <si>
    <t>3. Maximum Inductor Current</t>
  </si>
  <si>
    <r>
      <rPr>
        <sz val="16"/>
        <rFont val="宋体"/>
        <family val="0"/>
      </rPr>
      <t>△</t>
    </r>
    <r>
      <rPr>
        <sz val="16"/>
        <rFont val="Times Roman"/>
        <family val="1"/>
      </rPr>
      <t>L</t>
    </r>
  </si>
  <si>
    <t>Rsw ≤</t>
  </si>
  <si>
    <t>Ohm/2W</t>
  </si>
  <si>
    <t>5. Current Sense Resistor for Inductor, Rsw</t>
  </si>
  <si>
    <t>6. Current Sense Resistor for LED, RCS</t>
  </si>
  <si>
    <t>Please refer to datasheet.</t>
  </si>
  <si>
    <t>8. Select NMOS, M1</t>
  </si>
  <si>
    <t>Please refer to datasheet.</t>
  </si>
  <si>
    <t>Ohm</t>
  </si>
  <si>
    <t>Round up/down</t>
  </si>
  <si>
    <t>Round up</t>
  </si>
  <si>
    <r>
      <rPr>
        <sz val="16"/>
        <rFont val="宋体"/>
        <family val="0"/>
      </rPr>
      <t>若使用直流电源</t>
    </r>
  </si>
  <si>
    <t>11. About External Compensation</t>
  </si>
  <si>
    <t>kOhm</t>
  </si>
  <si>
    <t>Round up/down</t>
  </si>
  <si>
    <t>12. Calculate C5</t>
  </si>
  <si>
    <t>Remark:
Rsw should fullfil the above conditions.</t>
  </si>
  <si>
    <t>7. Select Schottky Diode, D1</t>
  </si>
  <si>
    <t>10. Select Input Capacitor, CIN</t>
  </si>
  <si>
    <t>9. Select Output Capacitor, COUT</t>
  </si>
  <si>
    <t>COUT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</si>
</sst>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US$&quot;#,##0_);\(&quot;US$&quot;#,##0\)"/>
    <numFmt numFmtId="185" formatCode="&quot;US$&quot;#,##0_);[Red]\(&quot;US$&quot;#,##0\)"/>
    <numFmt numFmtId="186" formatCode="&quot;US$&quot;#,##0.00_);\(&quot;US$&quot;#,##0.00\)"/>
    <numFmt numFmtId="187" formatCode="&quot;US$&quot;#,##0.00_);[Red]\(&quot;US$&quot;#,##0.00\)"/>
    <numFmt numFmtId="188" formatCode="0.000_ "/>
    <numFmt numFmtId="189" formatCode="0.0_ "/>
    <numFmt numFmtId="190" formatCode="0.00_ "/>
  </numFmts>
  <fonts count="43">
    <font>
      <sz val="12"/>
      <name val="宋体"/>
      <family val="0"/>
    </font>
    <font>
      <sz val="9"/>
      <name val="宋体"/>
      <family val="0"/>
    </font>
    <font>
      <u val="single"/>
      <sz val="6.6"/>
      <color indexed="12"/>
      <name val="宋体"/>
      <family val="0"/>
    </font>
    <font>
      <u val="single"/>
      <sz val="6.6"/>
      <color indexed="36"/>
      <name val="宋体"/>
      <family val="0"/>
    </font>
    <font>
      <u val="single"/>
      <sz val="12"/>
      <color indexed="12"/>
      <name val="宋体"/>
      <family val="0"/>
    </font>
    <font>
      <sz val="16"/>
      <name val="宋体"/>
      <family val="0"/>
    </font>
    <font>
      <sz val="16"/>
      <name val="Times Roman"/>
      <family val="1"/>
    </font>
    <font>
      <sz val="36"/>
      <name val="Times Roman"/>
      <family val="1"/>
    </font>
    <font>
      <sz val="16"/>
      <color indexed="10"/>
      <name val="Times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3" borderId="0" applyNumberFormat="0" applyBorder="0" applyAlignment="0" applyProtection="0"/>
    <xf numFmtId="0" fontId="41" fillId="21" borderId="8" applyNumberFormat="0" applyAlignment="0" applyProtection="0"/>
    <xf numFmtId="0" fontId="42" fillId="24" borderId="5" applyNumberFormat="0" applyAlignment="0" applyProtection="0"/>
    <xf numFmtId="0" fontId="3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9" applyNumberFormat="0" applyFont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4" fillId="0" borderId="0" xfId="40" applyFont="1" applyAlignment="1" applyProtection="1" quotePrefix="1">
      <alignment/>
      <protection/>
    </xf>
    <xf numFmtId="0" fontId="0" fillId="0" borderId="0" xfId="0" applyBorder="1" applyAlignment="1">
      <alignment/>
    </xf>
    <xf numFmtId="0" fontId="6" fillId="0" borderId="10" xfId="0" applyFont="1" applyBorder="1" applyAlignment="1">
      <alignment vertical="center"/>
    </xf>
    <xf numFmtId="0" fontId="6" fillId="32" borderId="11" xfId="0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190" fontId="6" fillId="33" borderId="21" xfId="0" applyNumberFormat="1" applyFont="1" applyFill="1" applyBorder="1" applyAlignment="1">
      <alignment horizontal="left" vertical="center"/>
    </xf>
    <xf numFmtId="188" fontId="6" fillId="33" borderId="11" xfId="0" applyNumberFormat="1" applyFont="1" applyFill="1" applyBorder="1" applyAlignment="1">
      <alignment horizontal="left" vertical="center"/>
    </xf>
    <xf numFmtId="188" fontId="6" fillId="33" borderId="20" xfId="0" applyNumberFormat="1" applyFont="1" applyFill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189" fontId="6" fillId="33" borderId="21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22" xfId="0" applyFont="1" applyBorder="1" applyAlignment="1">
      <alignment horizontal="center" vertical="center" wrapText="1"/>
    </xf>
    <xf numFmtId="190" fontId="6" fillId="0" borderId="21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vertical="center"/>
    </xf>
    <xf numFmtId="190" fontId="6" fillId="0" borderId="21" xfId="0" applyNumberFormat="1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190" fontId="6" fillId="33" borderId="11" xfId="0" applyNumberFormat="1" applyFont="1" applyFill="1" applyBorder="1" applyAlignment="1">
      <alignment horizontal="center" vertical="center"/>
    </xf>
    <xf numFmtId="190" fontId="6" fillId="33" borderId="2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6" fillId="0" borderId="2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361950</xdr:colOff>
      <xdr:row>0</xdr:row>
      <xdr:rowOff>628650</xdr:rowOff>
    </xdr:from>
    <xdr:to>
      <xdr:col>27</xdr:col>
      <xdr:colOff>495300</xdr:colOff>
      <xdr:row>16</xdr:row>
      <xdr:rowOff>57150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628650"/>
          <a:ext cx="9734550" cy="454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="50" zoomScaleNormal="50" zoomScalePageLayoutView="0" workbookViewId="0" topLeftCell="A1">
      <selection activeCell="J25" sqref="J25"/>
    </sheetView>
  </sheetViews>
  <sheetFormatPr defaultColWidth="9.00390625" defaultRowHeight="14.25"/>
  <cols>
    <col min="1" max="1" width="35.125" style="0" customWidth="1"/>
    <col min="2" max="2" width="15.50390625" style="0" bestFit="1" customWidth="1"/>
    <col min="4" max="4" width="13.125" style="0" customWidth="1"/>
    <col min="5" max="5" width="11.75390625" style="0" customWidth="1"/>
    <col min="6" max="6" width="18.50390625" style="0" customWidth="1"/>
    <col min="8" max="8" width="15.50390625" style="0" customWidth="1"/>
    <col min="10" max="10" width="20.625" style="0" customWidth="1"/>
    <col min="12" max="13" width="9.50390625" style="0" customWidth="1"/>
  </cols>
  <sheetData>
    <row r="1" spans="1:13" ht="61.5" customHeight="1" thickBot="1">
      <c r="A1" s="68" t="s">
        <v>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8" ht="26.25" customHeight="1">
      <c r="A2" s="83" t="s">
        <v>25</v>
      </c>
      <c r="B2" s="84"/>
      <c r="C2" s="85"/>
      <c r="D2" s="52"/>
      <c r="E2" s="10" t="s">
        <v>38</v>
      </c>
      <c r="F2" s="13"/>
      <c r="G2" s="11"/>
      <c r="H2" s="12"/>
      <c r="I2" s="10" t="s">
        <v>65</v>
      </c>
      <c r="J2" s="13"/>
      <c r="K2" s="11"/>
      <c r="L2" s="11"/>
      <c r="M2" s="12"/>
      <c r="R2" s="3"/>
    </row>
    <row r="3" spans="1:13" ht="26.25" customHeight="1" thickBot="1">
      <c r="A3" s="86"/>
      <c r="B3" s="87"/>
      <c r="C3" s="88"/>
      <c r="D3" s="52"/>
      <c r="E3" s="28" t="s">
        <v>16</v>
      </c>
      <c r="F3" s="14">
        <v>100</v>
      </c>
      <c r="G3" s="14" t="s">
        <v>39</v>
      </c>
      <c r="H3" s="29"/>
      <c r="I3" s="89" t="s">
        <v>53</v>
      </c>
      <c r="J3" s="90"/>
      <c r="K3" s="35"/>
      <c r="L3" s="35"/>
      <c r="M3" s="29"/>
    </row>
    <row r="4" spans="1:13" ht="26.25" customHeight="1" thickBot="1">
      <c r="A4" s="5" t="s">
        <v>32</v>
      </c>
      <c r="B4" s="6">
        <v>24</v>
      </c>
      <c r="C4" s="7" t="s">
        <v>14</v>
      </c>
      <c r="D4" s="52"/>
      <c r="E4" s="30" t="s">
        <v>17</v>
      </c>
      <c r="F4" s="31">
        <f>(B4/1.205-1)*100</f>
        <v>1891.701244813278</v>
      </c>
      <c r="G4" s="32" t="s">
        <v>39</v>
      </c>
      <c r="H4" s="33"/>
      <c r="I4" s="65"/>
      <c r="J4" s="66"/>
      <c r="K4" s="66"/>
      <c r="L4" s="66"/>
      <c r="M4" s="67"/>
    </row>
    <row r="5" spans="1:13" ht="26.25" customHeight="1" thickBot="1">
      <c r="A5" s="5" t="s">
        <v>35</v>
      </c>
      <c r="B5" s="6">
        <v>0.8</v>
      </c>
      <c r="C5" s="7" t="s">
        <v>15</v>
      </c>
      <c r="D5" s="52"/>
      <c r="E5" s="65" t="s">
        <v>40</v>
      </c>
      <c r="F5" s="66"/>
      <c r="G5" s="66"/>
      <c r="H5" s="67"/>
      <c r="I5" s="10" t="s">
        <v>54</v>
      </c>
      <c r="J5" s="13"/>
      <c r="K5" s="11"/>
      <c r="L5" s="11"/>
      <c r="M5" s="12"/>
    </row>
    <row r="6" spans="1:13" ht="26.25" customHeight="1" thickBot="1">
      <c r="A6" s="5" t="s">
        <v>27</v>
      </c>
      <c r="B6" s="8" t="s">
        <v>26</v>
      </c>
      <c r="C6" s="7" t="s">
        <v>18</v>
      </c>
      <c r="D6" s="52"/>
      <c r="E6" s="10" t="s">
        <v>43</v>
      </c>
      <c r="F6" s="13"/>
      <c r="G6" s="11"/>
      <c r="H6" s="12"/>
      <c r="I6" s="44" t="s">
        <v>53</v>
      </c>
      <c r="J6" s="45"/>
      <c r="K6" s="35"/>
      <c r="L6" s="35"/>
      <c r="M6" s="29"/>
    </row>
    <row r="7" spans="1:14" ht="26.25" customHeight="1" thickBot="1">
      <c r="A7" s="5" t="s">
        <v>28</v>
      </c>
      <c r="B7" s="6">
        <v>15</v>
      </c>
      <c r="C7" s="7" t="s">
        <v>14</v>
      </c>
      <c r="D7" s="52"/>
      <c r="E7" s="69" t="s">
        <v>34</v>
      </c>
      <c r="F7" s="73" t="s">
        <v>41</v>
      </c>
      <c r="G7" s="71" t="s">
        <v>42</v>
      </c>
      <c r="H7" s="72"/>
      <c r="I7" s="65"/>
      <c r="J7" s="66"/>
      <c r="K7" s="66"/>
      <c r="L7" s="66"/>
      <c r="M7" s="67"/>
      <c r="N7" s="4"/>
    </row>
    <row r="8" spans="1:13" ht="26.25" customHeight="1">
      <c r="A8" s="5" t="s">
        <v>29</v>
      </c>
      <c r="B8" s="6">
        <v>15</v>
      </c>
      <c r="C8" s="7" t="s">
        <v>14</v>
      </c>
      <c r="D8" s="52"/>
      <c r="E8" s="70"/>
      <c r="F8" s="74"/>
      <c r="G8" s="71"/>
      <c r="H8" s="72"/>
      <c r="I8" s="10" t="s">
        <v>67</v>
      </c>
      <c r="J8" s="11"/>
      <c r="K8" s="11"/>
      <c r="L8" s="11"/>
      <c r="M8" s="12"/>
    </row>
    <row r="9" spans="1:13" ht="26.25" customHeight="1" thickBot="1">
      <c r="A9" s="5" t="s">
        <v>30</v>
      </c>
      <c r="B9" s="6">
        <v>15</v>
      </c>
      <c r="C9" s="7" t="s">
        <v>14</v>
      </c>
      <c r="D9" s="52"/>
      <c r="E9" s="34" t="s">
        <v>0</v>
      </c>
      <c r="F9" s="35">
        <f>1-(B7/(B4+0.35))</f>
        <v>0.3839835728952773</v>
      </c>
      <c r="G9" s="35"/>
      <c r="H9" s="29"/>
      <c r="I9" s="46" t="s">
        <v>68</v>
      </c>
      <c r="J9" s="47">
        <f>1000000/(330000*((0.15/B5)-(0.05/(1-F10))))</f>
        <v>28.498147620404687</v>
      </c>
      <c r="K9" s="48" t="s">
        <v>22</v>
      </c>
      <c r="L9" s="38"/>
      <c r="M9" s="33"/>
    </row>
    <row r="10" spans="1:13" ht="26.25" customHeight="1" hidden="1" thickBot="1">
      <c r="A10" s="75" t="s">
        <v>59</v>
      </c>
      <c r="B10" s="76"/>
      <c r="C10" s="7"/>
      <c r="D10" s="52"/>
      <c r="E10" s="36" t="s">
        <v>9</v>
      </c>
      <c r="F10" s="35">
        <f>1-(B9/(B4+0.35))</f>
        <v>0.3839835728952773</v>
      </c>
      <c r="G10" s="35"/>
      <c r="H10" s="29"/>
      <c r="I10" s="52"/>
      <c r="J10" s="52"/>
      <c r="K10" s="52"/>
      <c r="L10" s="52"/>
      <c r="M10" s="52"/>
    </row>
    <row r="11" spans="1:13" ht="26.25" customHeight="1" hidden="1" thickBot="1">
      <c r="A11" s="5" t="s">
        <v>36</v>
      </c>
      <c r="B11" s="9"/>
      <c r="C11" s="7"/>
      <c r="D11" s="52"/>
      <c r="E11" s="37" t="s">
        <v>10</v>
      </c>
      <c r="F11" s="38">
        <f>1-(B8/(B4+0.35))</f>
        <v>0.3839835728952773</v>
      </c>
      <c r="G11" s="38"/>
      <c r="H11" s="33"/>
      <c r="I11" s="52"/>
      <c r="J11" s="52"/>
      <c r="K11" s="52"/>
      <c r="L11" s="52"/>
      <c r="M11" s="52"/>
    </row>
    <row r="12" spans="1:13" ht="26.25" customHeight="1" thickBot="1">
      <c r="A12" s="80" t="s">
        <v>37</v>
      </c>
      <c r="B12" s="81"/>
      <c r="C12" s="82"/>
      <c r="D12" s="52"/>
      <c r="E12" s="65"/>
      <c r="F12" s="66"/>
      <c r="G12" s="66"/>
      <c r="H12" s="66"/>
      <c r="I12" s="65"/>
      <c r="J12" s="66"/>
      <c r="K12" s="66"/>
      <c r="L12" s="66"/>
      <c r="M12" s="67"/>
    </row>
    <row r="13" spans="1:13" ht="26.25" customHeight="1" thickBot="1">
      <c r="A13" s="77" t="s">
        <v>31</v>
      </c>
      <c r="B13" s="78"/>
      <c r="C13" s="79"/>
      <c r="D13" s="52"/>
      <c r="E13" s="10" t="s">
        <v>47</v>
      </c>
      <c r="F13" s="13"/>
      <c r="G13" s="11"/>
      <c r="H13" s="11"/>
      <c r="I13" s="10" t="s">
        <v>66</v>
      </c>
      <c r="J13" s="11"/>
      <c r="K13" s="11"/>
      <c r="L13" s="11"/>
      <c r="M13" s="12"/>
    </row>
    <row r="14" spans="1:13" ht="26.25" customHeight="1">
      <c r="A14" s="53"/>
      <c r="B14" s="54"/>
      <c r="C14" s="52"/>
      <c r="D14" s="52"/>
      <c r="E14" s="19" t="s">
        <v>19</v>
      </c>
      <c r="F14" s="20">
        <f>1.8*(B5/(1-F10))</f>
        <v>2.3376000000000006</v>
      </c>
      <c r="G14" s="20" t="s">
        <v>20</v>
      </c>
      <c r="H14" s="35"/>
      <c r="I14" s="91" t="s">
        <v>55</v>
      </c>
      <c r="J14" s="92"/>
      <c r="K14" s="92"/>
      <c r="L14" s="35"/>
      <c r="M14" s="29"/>
    </row>
    <row r="15" spans="1:13" ht="26.25" customHeight="1" thickBot="1">
      <c r="A15" s="53"/>
      <c r="B15" s="54"/>
      <c r="C15" s="52"/>
      <c r="D15" s="52"/>
      <c r="E15" s="18" t="s">
        <v>21</v>
      </c>
      <c r="F15" s="21">
        <f>(B5/(1-F10))</f>
        <v>1.2986666666666669</v>
      </c>
      <c r="G15" s="21" t="s">
        <v>20</v>
      </c>
      <c r="H15" s="39"/>
      <c r="I15" s="93"/>
      <c r="J15" s="94"/>
      <c r="K15" s="94"/>
      <c r="L15" s="38"/>
      <c r="M15" s="33"/>
    </row>
    <row r="16" spans="1:13" ht="26.25" customHeight="1" thickBot="1">
      <c r="A16" s="53"/>
      <c r="B16" s="54"/>
      <c r="C16" s="52"/>
      <c r="D16" s="52"/>
      <c r="E16" s="65"/>
      <c r="F16" s="66"/>
      <c r="G16" s="66"/>
      <c r="H16" s="67"/>
      <c r="I16" s="65"/>
      <c r="J16" s="66"/>
      <c r="K16" s="66"/>
      <c r="L16" s="66"/>
      <c r="M16" s="67"/>
    </row>
    <row r="17" spans="1:13" ht="26.25" customHeight="1">
      <c r="A17" s="53"/>
      <c r="B17" s="54"/>
      <c r="C17" s="52"/>
      <c r="D17" s="52"/>
      <c r="E17" s="10" t="s">
        <v>45</v>
      </c>
      <c r="F17" s="13"/>
      <c r="G17" s="11"/>
      <c r="H17" s="12"/>
      <c r="I17" s="10" t="s">
        <v>60</v>
      </c>
      <c r="J17" s="11"/>
      <c r="K17" s="11"/>
      <c r="L17" s="11"/>
      <c r="M17" s="12"/>
    </row>
    <row r="18" spans="1:13" ht="26.25" customHeight="1">
      <c r="A18" s="53"/>
      <c r="B18" s="54"/>
      <c r="C18" s="52"/>
      <c r="D18" s="52"/>
      <c r="E18" s="36" t="s">
        <v>48</v>
      </c>
      <c r="F18" s="22">
        <f>0.3*(B5/(1-F11))</f>
        <v>0.38960000000000006</v>
      </c>
      <c r="G18" s="35"/>
      <c r="H18" s="29"/>
      <c r="I18" s="36" t="s">
        <v>11</v>
      </c>
      <c r="J18" s="35">
        <f>B4/B5</f>
        <v>30</v>
      </c>
      <c r="K18" s="35" t="s">
        <v>56</v>
      </c>
      <c r="L18" s="35"/>
      <c r="M18" s="29"/>
    </row>
    <row r="19" spans="1:13" ht="26.25" customHeight="1" thickBot="1">
      <c r="A19" s="52"/>
      <c r="B19" s="52"/>
      <c r="C19" s="52"/>
      <c r="D19" s="52"/>
      <c r="E19" s="40" t="s">
        <v>46</v>
      </c>
      <c r="F19" s="23">
        <f>((B8*F11)/(330000*F18))*1000000</f>
        <v>44.79927815186639</v>
      </c>
      <c r="G19" s="41" t="s">
        <v>13</v>
      </c>
      <c r="H19" s="33" t="s">
        <v>44</v>
      </c>
      <c r="I19" s="36" t="s">
        <v>5</v>
      </c>
      <c r="J19" s="35">
        <f>2/(J18*J9*0.000001)</f>
        <v>2339.333333333332</v>
      </c>
      <c r="K19" s="35"/>
      <c r="L19" s="35"/>
      <c r="M19" s="29"/>
    </row>
    <row r="20" spans="1:13" ht="26.25" customHeight="1" thickBot="1">
      <c r="A20" s="52"/>
      <c r="B20" s="52"/>
      <c r="C20" s="52"/>
      <c r="D20" s="52"/>
      <c r="E20" s="15"/>
      <c r="F20" s="16"/>
      <c r="G20" s="16"/>
      <c r="H20" s="17"/>
      <c r="I20" s="36" t="s">
        <v>6</v>
      </c>
      <c r="J20" s="35">
        <f>1/(0.1*0.0001)</f>
        <v>99999.99999999999</v>
      </c>
      <c r="K20" s="35"/>
      <c r="L20" s="35"/>
      <c r="M20" s="29"/>
    </row>
    <row r="21" spans="1:13" ht="26.25" customHeight="1">
      <c r="A21" s="52"/>
      <c r="B21" s="52"/>
      <c r="C21" s="52"/>
      <c r="D21" s="52"/>
      <c r="E21" s="10" t="s">
        <v>51</v>
      </c>
      <c r="F21" s="13"/>
      <c r="G21" s="11"/>
      <c r="H21" s="12"/>
      <c r="I21" s="36" t="s">
        <v>7</v>
      </c>
      <c r="J21" s="35">
        <f>(J18*(1-F10)*(1-F10))/(F19*0.000001)</f>
        <v>254117.64705882347</v>
      </c>
      <c r="K21" s="35"/>
      <c r="L21" s="35"/>
      <c r="M21" s="29"/>
    </row>
    <row r="22" spans="1:13" ht="26.25" customHeight="1">
      <c r="A22" s="52"/>
      <c r="B22" s="52"/>
      <c r="C22" s="52"/>
      <c r="D22" s="52"/>
      <c r="E22" s="5" t="s">
        <v>49</v>
      </c>
      <c r="F22" s="24">
        <f>0.8*(1-F10)/(10*B5)</f>
        <v>0.061601642710472276</v>
      </c>
      <c r="G22" s="9" t="s">
        <v>50</v>
      </c>
      <c r="H22" s="29"/>
      <c r="I22" s="36" t="s">
        <v>8</v>
      </c>
      <c r="J22" s="58" t="str">
        <f>IF(J45&gt;=30000,"30000",J45)</f>
        <v>30000</v>
      </c>
      <c r="K22" s="35"/>
      <c r="L22" s="35"/>
      <c r="M22" s="29"/>
    </row>
    <row r="23" spans="1:13" ht="26.25" customHeight="1">
      <c r="A23" s="52"/>
      <c r="B23" s="52"/>
      <c r="C23" s="52"/>
      <c r="D23" s="52"/>
      <c r="E23" s="42" t="s">
        <v>49</v>
      </c>
      <c r="F23" s="25">
        <f>(0.8*0.11*F19)/(B4+0.3-B9)</f>
        <v>0.42390714810368196</v>
      </c>
      <c r="G23" s="43" t="s">
        <v>50</v>
      </c>
      <c r="H23" s="29"/>
      <c r="I23" s="28" t="s">
        <v>1</v>
      </c>
      <c r="J23" s="55">
        <f>(276.6*B4*SQRT(((J22*J22)/(J19*J19))+1))*0.001</f>
        <v>85.39037800836053</v>
      </c>
      <c r="K23" s="14" t="s">
        <v>61</v>
      </c>
      <c r="L23" s="35" t="s">
        <v>62</v>
      </c>
      <c r="M23" s="29"/>
    </row>
    <row r="24" spans="1:13" ht="26.25" customHeight="1">
      <c r="A24" s="52"/>
      <c r="B24" s="52"/>
      <c r="C24" s="52"/>
      <c r="D24" s="52"/>
      <c r="E24" s="59" t="s">
        <v>64</v>
      </c>
      <c r="F24" s="60"/>
      <c r="G24" s="60"/>
      <c r="H24" s="61"/>
      <c r="I24" s="28" t="s">
        <v>2</v>
      </c>
      <c r="J24" s="55">
        <f>(1/(J23*1000*J19))*1000000000</f>
        <v>5.006093476529836</v>
      </c>
      <c r="K24" s="14" t="s">
        <v>4</v>
      </c>
      <c r="L24" s="35" t="s">
        <v>57</v>
      </c>
      <c r="M24" s="29"/>
    </row>
    <row r="25" spans="1:13" ht="26.25" customHeight="1" thickBot="1">
      <c r="A25" s="52"/>
      <c r="B25" s="52"/>
      <c r="C25" s="52"/>
      <c r="D25" s="52"/>
      <c r="E25" s="62"/>
      <c r="F25" s="63"/>
      <c r="G25" s="63"/>
      <c r="H25" s="64"/>
      <c r="I25" s="30" t="s">
        <v>3</v>
      </c>
      <c r="J25" s="56">
        <f>(1/(J23*1000*J20))*1000000000000</f>
        <v>117.10921339428789</v>
      </c>
      <c r="K25" s="32" t="s">
        <v>12</v>
      </c>
      <c r="L25" s="38" t="s">
        <v>57</v>
      </c>
      <c r="M25" s="33"/>
    </row>
    <row r="26" spans="1:13" ht="19.5" customHeight="1" thickBot="1">
      <c r="A26" s="52"/>
      <c r="B26" s="52"/>
      <c r="C26" s="52"/>
      <c r="D26" s="52"/>
      <c r="E26" s="10"/>
      <c r="F26" s="11"/>
      <c r="G26" s="11"/>
      <c r="H26" s="11"/>
      <c r="I26" s="11"/>
      <c r="J26" s="11"/>
      <c r="K26" s="11"/>
      <c r="L26" s="11"/>
      <c r="M26" s="12"/>
    </row>
    <row r="27" spans="1:13" ht="34.5" customHeight="1">
      <c r="A27" s="52"/>
      <c r="B27" s="57"/>
      <c r="C27" s="52"/>
      <c r="D27" s="52"/>
      <c r="E27" s="10" t="s">
        <v>52</v>
      </c>
      <c r="F27" s="11"/>
      <c r="G27" s="11"/>
      <c r="H27" s="12"/>
      <c r="I27" s="10" t="s">
        <v>63</v>
      </c>
      <c r="J27" s="11"/>
      <c r="K27" s="11"/>
      <c r="L27" s="11"/>
      <c r="M27" s="12"/>
    </row>
    <row r="28" spans="1:13" ht="32.25" customHeight="1" thickBot="1">
      <c r="A28" s="52"/>
      <c r="B28" s="52"/>
      <c r="C28" s="52"/>
      <c r="D28" s="52"/>
      <c r="E28" s="26" t="s">
        <v>24</v>
      </c>
      <c r="F28" s="27">
        <f>0.12/B5</f>
        <v>0.15</v>
      </c>
      <c r="G28" s="27" t="s">
        <v>50</v>
      </c>
      <c r="H28" s="33"/>
      <c r="I28" s="49" t="s">
        <v>23</v>
      </c>
      <c r="J28" s="50">
        <f>(5*3.14/(330000*((F3*F4*1000)/(F3+F4))))*1000000000000</f>
        <v>500.9072962571537</v>
      </c>
      <c r="K28" s="51" t="s">
        <v>12</v>
      </c>
      <c r="L28" s="38" t="s">
        <v>58</v>
      </c>
      <c r="M28" s="33"/>
    </row>
    <row r="29" spans="5:8" ht="19.5" customHeight="1">
      <c r="E29" s="1"/>
      <c r="F29" s="1"/>
      <c r="G29" s="1"/>
      <c r="H29" s="1"/>
    </row>
    <row r="30" spans="5:8" ht="19.5" customHeight="1">
      <c r="E30" s="1"/>
      <c r="F30" s="1"/>
      <c r="G30" s="1"/>
      <c r="H30" s="1"/>
    </row>
    <row r="31" spans="5:8" ht="19.5" customHeight="1">
      <c r="E31" s="1"/>
      <c r="F31" s="1"/>
      <c r="G31" s="1"/>
      <c r="H31" s="1"/>
    </row>
    <row r="32" spans="5:8" ht="19.5" customHeight="1">
      <c r="E32" s="1"/>
      <c r="F32" s="1"/>
      <c r="G32" s="1"/>
      <c r="H32" s="1"/>
    </row>
    <row r="33" spans="5:8" ht="19.5" customHeight="1">
      <c r="E33" s="1"/>
      <c r="F33" s="1"/>
      <c r="G33" s="1"/>
      <c r="H33" s="1"/>
    </row>
    <row r="34" spans="5:8" ht="19.5" customHeight="1">
      <c r="E34" s="1"/>
      <c r="F34" s="1"/>
      <c r="G34" s="1"/>
      <c r="H34" s="1"/>
    </row>
    <row r="35" spans="5:8" ht="19.5" customHeight="1">
      <c r="E35" s="1"/>
      <c r="F35" s="1"/>
      <c r="G35" s="1"/>
      <c r="H35" s="1"/>
    </row>
    <row r="36" spans="5:8" ht="19.5" customHeight="1">
      <c r="E36" s="1"/>
      <c r="F36" s="1"/>
      <c r="G36" s="1"/>
      <c r="H36" s="1"/>
    </row>
    <row r="37" spans="5:8" ht="19.5" customHeight="1">
      <c r="E37" s="1"/>
      <c r="F37" s="1"/>
      <c r="G37" s="1"/>
      <c r="H37" s="1"/>
    </row>
    <row r="38" spans="5:8" ht="19.5" customHeight="1">
      <c r="E38" s="1"/>
      <c r="F38" s="1"/>
      <c r="G38" s="1"/>
      <c r="H38" s="1"/>
    </row>
    <row r="39" spans="5:8" ht="19.5" customHeight="1">
      <c r="E39" s="1"/>
      <c r="F39" s="1"/>
      <c r="G39" s="1"/>
      <c r="H39" s="1"/>
    </row>
    <row r="40" spans="5:8" ht="19.5" customHeight="1">
      <c r="E40" s="1"/>
      <c r="F40" s="1"/>
      <c r="G40" s="1"/>
      <c r="H40" s="1"/>
    </row>
    <row r="41" spans="5:8" ht="19.5" customHeight="1">
      <c r="E41" s="1"/>
      <c r="F41" s="1"/>
      <c r="G41" s="1"/>
      <c r="H41" s="1"/>
    </row>
    <row r="42" spans="5:8" ht="19.5" customHeight="1">
      <c r="E42" s="1"/>
      <c r="F42" s="1"/>
      <c r="G42" s="1"/>
      <c r="H42" s="1"/>
    </row>
    <row r="43" spans="5:8" ht="19.5" customHeight="1">
      <c r="E43" s="1"/>
      <c r="F43" s="1"/>
      <c r="G43" s="1"/>
      <c r="H43" s="1"/>
    </row>
    <row r="44" spans="5:8" ht="19.5" customHeight="1">
      <c r="E44" s="1"/>
      <c r="F44" s="1"/>
      <c r="G44" s="1"/>
      <c r="H44" s="1"/>
    </row>
    <row r="45" spans="5:10" ht="19.5" customHeight="1">
      <c r="E45" s="1"/>
      <c r="F45" s="1"/>
      <c r="G45" s="1"/>
      <c r="H45" s="1"/>
      <c r="J45">
        <f>0.35*J21</f>
        <v>88941.17647058821</v>
      </c>
    </row>
    <row r="46" spans="5:8" ht="19.5" customHeight="1">
      <c r="E46" s="1"/>
      <c r="F46" s="1"/>
      <c r="G46" s="1"/>
      <c r="H46" s="1"/>
    </row>
    <row r="47" spans="5:8" ht="19.5" customHeight="1">
      <c r="E47" s="1"/>
      <c r="F47" s="1"/>
      <c r="G47" s="1"/>
      <c r="H47" s="1"/>
    </row>
    <row r="48" spans="3:8" ht="19.5" customHeight="1">
      <c r="C48" s="1"/>
      <c r="D48" s="1"/>
      <c r="E48" s="1"/>
      <c r="F48" s="1"/>
      <c r="G48" s="1"/>
      <c r="H48" s="1"/>
    </row>
    <row r="49" spans="3:8" ht="19.5" customHeight="1">
      <c r="C49" s="1"/>
      <c r="D49" s="1"/>
      <c r="E49" s="1"/>
      <c r="F49" s="1"/>
      <c r="G49" s="1"/>
      <c r="H49" s="1"/>
    </row>
    <row r="50" spans="3:8" ht="19.5" customHeight="1">
      <c r="C50" s="1"/>
      <c r="D50" s="1"/>
      <c r="E50" s="1"/>
      <c r="F50" s="1"/>
      <c r="G50" s="1"/>
      <c r="H50" s="1"/>
    </row>
    <row r="51" spans="1:8" ht="19.5" customHeight="1">
      <c r="A51" s="1"/>
      <c r="B51" s="2"/>
      <c r="C51" s="1"/>
      <c r="D51" s="1"/>
      <c r="E51" s="1"/>
      <c r="F51" s="1"/>
      <c r="G51" s="1"/>
      <c r="H51" s="1"/>
    </row>
    <row r="52" spans="1:8" ht="18" customHeight="1">
      <c r="A52" s="1"/>
      <c r="B52" s="2"/>
      <c r="C52" s="1"/>
      <c r="D52" s="1"/>
      <c r="E52" s="1"/>
      <c r="F52" s="1"/>
      <c r="G52" s="1"/>
      <c r="H52" s="1"/>
    </row>
    <row r="53" spans="1:8" ht="15.75" customHeight="1">
      <c r="A53" s="1"/>
      <c r="B53" s="2"/>
      <c r="C53" s="1"/>
      <c r="D53" s="1"/>
      <c r="E53" s="1"/>
      <c r="F53" s="1"/>
      <c r="G53" s="1"/>
      <c r="H53" s="1"/>
    </row>
  </sheetData>
  <sheetProtection/>
  <mergeCells count="18">
    <mergeCell ref="A13:C13"/>
    <mergeCell ref="A12:C12"/>
    <mergeCell ref="A2:C3"/>
    <mergeCell ref="I3:J3"/>
    <mergeCell ref="I4:M4"/>
    <mergeCell ref="I14:K15"/>
    <mergeCell ref="I12:M12"/>
    <mergeCell ref="I7:M7"/>
    <mergeCell ref="E24:H25"/>
    <mergeCell ref="I16:M16"/>
    <mergeCell ref="E16:H16"/>
    <mergeCell ref="A1:M1"/>
    <mergeCell ref="E5:H5"/>
    <mergeCell ref="E12:H12"/>
    <mergeCell ref="E7:E8"/>
    <mergeCell ref="G7:H8"/>
    <mergeCell ref="F7:F8"/>
    <mergeCell ref="A10:B10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2022-03-22T13:06:28Z</dcterms:modified>
  <cp:category/>
  <cp:version/>
  <cp:contentType/>
  <cp:contentStatus/>
</cp:coreProperties>
</file>