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4" yWindow="32767" windowWidth="19224" windowHeight="10380" activeTab="0"/>
  </bookViews>
  <sheets>
    <sheet name="CN3306计算工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<sst xmlns="http://schemas.openxmlformats.org/spreadsheetml/2006/main" count="80" uniqueCount="70">
  <si>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D</t>
  </si>
  <si>
    <t>R3</t>
  </si>
  <si>
    <t>C1</t>
  </si>
  <si>
    <t>C2</t>
  </si>
  <si>
    <t>nF</t>
  </si>
  <si>
    <t>wp1</t>
  </si>
  <si>
    <t>wz1</t>
  </si>
  <si>
    <t>wz2</t>
  </si>
  <si>
    <t>wc</t>
  </si>
  <si>
    <t>Dmax</t>
  </si>
  <si>
    <t>Dmin</t>
  </si>
  <si>
    <t>Rout</t>
  </si>
  <si>
    <t>uH</t>
  </si>
  <si>
    <t>V</t>
  </si>
  <si>
    <t>A</t>
  </si>
  <si>
    <t>R2</t>
  </si>
  <si>
    <t>R1</t>
  </si>
  <si>
    <t>mV</t>
  </si>
  <si>
    <t>Ilpeak</t>
  </si>
  <si>
    <t>Iin</t>
  </si>
  <si>
    <t>uF</t>
  </si>
  <si>
    <t>Assume 150</t>
  </si>
  <si>
    <t>Termination Voltage, BAT</t>
  </si>
  <si>
    <t>Constant Charge Current, Ich</t>
  </si>
  <si>
    <t>Please Enter Design Specifications:</t>
  </si>
  <si>
    <t>Maximum Voltage Ripple</t>
  </si>
  <si>
    <t>Maximum Input Voltage, Vin</t>
  </si>
  <si>
    <t>1. Design FB Resistor Ladder</t>
  </si>
  <si>
    <t>2. Constant Charge Current</t>
  </si>
  <si>
    <t>kOhm</t>
  </si>
  <si>
    <t>Ohm</t>
  </si>
  <si>
    <t>kOhm</t>
  </si>
  <si>
    <t>Maximum Power Point Tracking (Adaptive)</t>
  </si>
  <si>
    <t>3. Maximum Power Point Tracking</t>
  </si>
  <si>
    <t>Schottky diode</t>
  </si>
  <si>
    <t>Assume the diode forward voltage is 0.35V</t>
  </si>
  <si>
    <t>3. Estimate Duty Cycle</t>
  </si>
  <si>
    <t>4. Maximum Inductor Current</t>
  </si>
  <si>
    <t>5. Inductor</t>
  </si>
  <si>
    <t>Round up</t>
  </si>
  <si>
    <t>Ohm</t>
  </si>
  <si>
    <t>L1 ≥</t>
  </si>
  <si>
    <t>RCS</t>
  </si>
  <si>
    <t>Power is 2W</t>
  </si>
  <si>
    <t>R5</t>
  </si>
  <si>
    <t>R6</t>
  </si>
  <si>
    <t>D1</t>
  </si>
  <si>
    <t>2. Please also consider the resistor rating.</t>
  </si>
  <si>
    <t>Remark :</t>
  </si>
  <si>
    <t>Ratio is important.  Other values can be used.</t>
  </si>
  <si>
    <t>7. Select Schottky Diode, D1</t>
  </si>
  <si>
    <t>8. Select NMOS, M1</t>
  </si>
  <si>
    <t>Please refer to datasheet.</t>
  </si>
  <si>
    <t>Please refer to datasheet.</t>
  </si>
  <si>
    <t>Please refer to datasheet.</t>
  </si>
  <si>
    <t>10. Select Input Capacitor, CIN</t>
  </si>
  <si>
    <t>11. About External Compensation</t>
  </si>
  <si>
    <t>Ohm</t>
  </si>
  <si>
    <r>
      <rPr>
        <sz val="16"/>
        <rFont val="宋体"/>
        <family val="0"/>
      </rPr>
      <t>△</t>
    </r>
    <r>
      <rPr>
        <sz val="16"/>
        <rFont val="Times Roman"/>
        <family val="1"/>
      </rPr>
      <t>L</t>
    </r>
  </si>
  <si>
    <r>
      <rPr>
        <sz val="16"/>
        <rFont val="宋体"/>
        <family val="0"/>
      </rPr>
      <t>若使用直流电源</t>
    </r>
  </si>
  <si>
    <t>Round Up/Down</t>
  </si>
  <si>
    <t>Round Up/Down</t>
  </si>
  <si>
    <r>
      <t>Vin=Vin</t>
    </r>
    <r>
      <rPr>
        <sz val="16"/>
        <rFont val="宋体"/>
        <family val="0"/>
      </rPr>
      <t>（</t>
    </r>
    <r>
      <rPr>
        <sz val="16"/>
        <rFont val="Times Roman"/>
        <family val="1"/>
      </rPr>
      <t>max</t>
    </r>
    <r>
      <rPr>
        <sz val="16"/>
        <rFont val="宋体"/>
        <family val="0"/>
      </rPr>
      <t>）</t>
    </r>
    <r>
      <rPr>
        <sz val="16"/>
        <rFont val="Times Roman"/>
        <family val="1"/>
      </rPr>
      <t>=Vin</t>
    </r>
    <r>
      <rPr>
        <sz val="16"/>
        <rFont val="宋体"/>
        <family val="0"/>
      </rPr>
      <t>（</t>
    </r>
    <r>
      <rPr>
        <sz val="16"/>
        <rFont val="Times Roman"/>
        <family val="1"/>
      </rPr>
      <t>min</t>
    </r>
    <r>
      <rPr>
        <sz val="16"/>
        <rFont val="宋体"/>
        <family val="0"/>
      </rPr>
      <t>）</t>
    </r>
  </si>
  <si>
    <t>COUT</t>
  </si>
  <si>
    <t>9. Select Output Capacitor, COUT</t>
  </si>
  <si>
    <t>Ohm</t>
  </si>
  <si>
    <t>1. Rsw should fulfill the above conditions</t>
  </si>
  <si>
    <t>6. Current Sense Resistor, Rsw</t>
  </si>
  <si>
    <t>Rsw ≤</t>
  </si>
  <si>
    <t>Circuit Design Procedures for 3306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</si>
</sst>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_ "/>
    <numFmt numFmtId="189" formatCode="0.0_ "/>
    <numFmt numFmtId="190" formatCode="0.0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36"/>
      <name val="Times Roman"/>
      <family val="1"/>
    </font>
    <font>
      <sz val="16"/>
      <name val="Times Roman"/>
      <family val="1"/>
    </font>
    <font>
      <sz val="16"/>
      <color indexed="10"/>
      <name val="Times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40" applyFont="1" applyAlignment="1" applyProtection="1" quotePrefix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89" fontId="8" fillId="33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190" fontId="8" fillId="33" borderId="26" xfId="0" applyNumberFormat="1" applyFont="1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188" fontId="8" fillId="33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188" fontId="8" fillId="33" borderId="27" xfId="0" applyNumberFormat="1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190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90" fontId="10" fillId="33" borderId="11" xfId="0" applyNumberFormat="1" applyFont="1" applyFill="1" applyBorder="1" applyAlignment="1">
      <alignment horizontal="center"/>
    </xf>
    <xf numFmtId="190" fontId="10" fillId="33" borderId="2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14</xdr:row>
      <xdr:rowOff>304800</xdr:rowOff>
    </xdr:from>
    <xdr:to>
      <xdr:col>3</xdr:col>
      <xdr:colOff>504825</xdr:colOff>
      <xdr:row>23</xdr:row>
      <xdr:rowOff>142875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52975"/>
          <a:ext cx="58769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70" zoomScaleNormal="70" zoomScalePageLayoutView="0" workbookViewId="0" topLeftCell="A9">
      <selection activeCell="F25" sqref="F25"/>
    </sheetView>
  </sheetViews>
  <sheetFormatPr defaultColWidth="9.00390625" defaultRowHeight="14.25"/>
  <cols>
    <col min="1" max="1" width="49.50390625" style="0" customWidth="1"/>
    <col min="2" max="2" width="15.50390625" style="0" bestFit="1" customWidth="1"/>
    <col min="4" max="4" width="13.125" style="0" customWidth="1"/>
    <col min="5" max="5" width="11.75390625" style="0" customWidth="1"/>
    <col min="6" max="6" width="16.125" style="0" customWidth="1"/>
    <col min="8" max="8" width="15.50390625" style="0" customWidth="1"/>
    <col min="10" max="10" width="21.00390625" style="0" customWidth="1"/>
    <col min="12" max="12" width="10.25390625" style="0" customWidth="1"/>
    <col min="13" max="13" width="10.50390625" style="0" customWidth="1"/>
  </cols>
  <sheetData>
    <row r="1" spans="1:13" ht="61.5" customHeight="1" thickBot="1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8" ht="26.25" customHeight="1">
      <c r="A2" s="66" t="s">
        <v>24</v>
      </c>
      <c r="B2" s="67"/>
      <c r="C2" s="68"/>
      <c r="D2" s="51"/>
      <c r="E2" s="28" t="s">
        <v>27</v>
      </c>
      <c r="F2" s="12"/>
      <c r="G2" s="14"/>
      <c r="H2" s="15"/>
      <c r="I2" s="28" t="s">
        <v>50</v>
      </c>
      <c r="J2" s="12"/>
      <c r="K2" s="14"/>
      <c r="L2" s="14"/>
      <c r="M2" s="15"/>
      <c r="R2" s="4"/>
    </row>
    <row r="3" spans="1:13" ht="26.25" customHeight="1" thickBot="1">
      <c r="A3" s="69"/>
      <c r="B3" s="70"/>
      <c r="C3" s="71"/>
      <c r="D3" s="51"/>
      <c r="E3" s="29" t="s">
        <v>15</v>
      </c>
      <c r="F3" s="30">
        <v>100</v>
      </c>
      <c r="G3" s="31" t="s">
        <v>29</v>
      </c>
      <c r="H3" s="16"/>
      <c r="I3" s="54" t="s">
        <v>53</v>
      </c>
      <c r="J3" s="55"/>
      <c r="K3" s="20"/>
      <c r="L3" s="20"/>
      <c r="M3" s="16"/>
    </row>
    <row r="4" spans="1:13" ht="26.25" customHeight="1" thickBot="1">
      <c r="A4" s="8" t="s">
        <v>22</v>
      </c>
      <c r="B4" s="9">
        <v>25</v>
      </c>
      <c r="C4" s="10" t="s">
        <v>13</v>
      </c>
      <c r="D4" s="51"/>
      <c r="E4" s="32" t="s">
        <v>16</v>
      </c>
      <c r="F4" s="33">
        <f>(B4/1.205-1)*100</f>
        <v>1974.6887966804977</v>
      </c>
      <c r="G4" s="34" t="s">
        <v>29</v>
      </c>
      <c r="H4" s="17"/>
      <c r="I4" s="72"/>
      <c r="J4" s="73"/>
      <c r="K4" s="73"/>
      <c r="L4" s="73"/>
      <c r="M4" s="74"/>
    </row>
    <row r="5" spans="1:13" ht="26.25" customHeight="1" thickBot="1">
      <c r="A5" s="8" t="s">
        <v>23</v>
      </c>
      <c r="B5" s="9">
        <v>6</v>
      </c>
      <c r="C5" s="10" t="s">
        <v>14</v>
      </c>
      <c r="D5" s="51"/>
      <c r="E5" s="72" t="s">
        <v>49</v>
      </c>
      <c r="F5" s="73"/>
      <c r="G5" s="73"/>
      <c r="H5" s="74"/>
      <c r="I5" s="28" t="s">
        <v>51</v>
      </c>
      <c r="J5" s="12"/>
      <c r="K5" s="14"/>
      <c r="L5" s="14"/>
      <c r="M5" s="15"/>
    </row>
    <row r="6" spans="1:13" ht="26.25" customHeight="1" thickBot="1">
      <c r="A6" s="8" t="s">
        <v>25</v>
      </c>
      <c r="B6" s="11" t="s">
        <v>21</v>
      </c>
      <c r="C6" s="10" t="s">
        <v>17</v>
      </c>
      <c r="D6" s="51"/>
      <c r="E6" s="28" t="s">
        <v>28</v>
      </c>
      <c r="F6" s="12"/>
      <c r="G6" s="14"/>
      <c r="H6" s="15"/>
      <c r="I6" s="56" t="s">
        <v>52</v>
      </c>
      <c r="J6" s="57"/>
      <c r="K6" s="20"/>
      <c r="L6" s="20"/>
      <c r="M6" s="16"/>
    </row>
    <row r="7" spans="1:14" ht="26.25" customHeight="1" thickBot="1">
      <c r="A7" s="8" t="s">
        <v>26</v>
      </c>
      <c r="B7" s="9">
        <v>15</v>
      </c>
      <c r="C7" s="10" t="s">
        <v>13</v>
      </c>
      <c r="D7" s="51"/>
      <c r="E7" s="75" t="s">
        <v>42</v>
      </c>
      <c r="F7" s="77">
        <f>0.12/B5</f>
        <v>0.02</v>
      </c>
      <c r="G7" s="83" t="s">
        <v>30</v>
      </c>
      <c r="H7" s="82" t="s">
        <v>43</v>
      </c>
      <c r="I7" s="79"/>
      <c r="J7" s="80"/>
      <c r="K7" s="80"/>
      <c r="L7" s="80"/>
      <c r="M7" s="81"/>
      <c r="N7" s="5"/>
    </row>
    <row r="8" spans="1:13" ht="26.25" customHeight="1">
      <c r="A8" s="8" t="s">
        <v>32</v>
      </c>
      <c r="B8" s="9">
        <v>15</v>
      </c>
      <c r="C8" s="10" t="s">
        <v>13</v>
      </c>
      <c r="D8" s="51"/>
      <c r="E8" s="76"/>
      <c r="F8" s="78"/>
      <c r="G8" s="83"/>
      <c r="H8" s="82"/>
      <c r="I8" s="28" t="s">
        <v>64</v>
      </c>
      <c r="J8" s="14"/>
      <c r="K8" s="14"/>
      <c r="L8" s="14"/>
      <c r="M8" s="15"/>
    </row>
    <row r="9" spans="1:13" ht="26.25" customHeight="1" thickBot="1">
      <c r="A9" s="92"/>
      <c r="B9" s="93"/>
      <c r="C9" s="94"/>
      <c r="D9" s="51"/>
      <c r="E9" s="19"/>
      <c r="F9" s="20"/>
      <c r="G9" s="20"/>
      <c r="H9" s="16"/>
      <c r="I9" s="58" t="s">
        <v>63</v>
      </c>
      <c r="J9" s="59">
        <f>1000000/(330000*((0.03/B5)-(0.001/(1-F20))))</f>
        <v>915.4994049253868</v>
      </c>
      <c r="K9" s="60" t="s">
        <v>20</v>
      </c>
      <c r="L9" s="23"/>
      <c r="M9" s="17"/>
    </row>
    <row r="10" spans="1:13" ht="26.25" customHeight="1" hidden="1" thickBot="1">
      <c r="A10" s="84" t="s">
        <v>59</v>
      </c>
      <c r="B10" s="85"/>
      <c r="C10" s="10"/>
      <c r="D10" s="51"/>
      <c r="E10" s="21" t="s">
        <v>9</v>
      </c>
      <c r="F10" s="20">
        <f>1-(B9/(B4+0.35))</f>
        <v>1</v>
      </c>
      <c r="G10" s="20"/>
      <c r="H10" s="16"/>
      <c r="I10" s="51"/>
      <c r="J10" s="51"/>
      <c r="K10" s="51"/>
      <c r="L10" s="51"/>
      <c r="M10" s="51"/>
    </row>
    <row r="11" spans="1:13" ht="26.25" customHeight="1" hidden="1" thickBot="1">
      <c r="A11" s="8" t="s">
        <v>62</v>
      </c>
      <c r="B11" s="42"/>
      <c r="C11" s="10"/>
      <c r="D11" s="51"/>
      <c r="E11" s="22" t="s">
        <v>10</v>
      </c>
      <c r="F11" s="23">
        <f>1-(B8/(B4+0.35))</f>
        <v>0.40828402366863914</v>
      </c>
      <c r="G11" s="23"/>
      <c r="H11" s="17"/>
      <c r="I11" s="51"/>
      <c r="J11" s="51"/>
      <c r="K11" s="51"/>
      <c r="L11" s="51"/>
      <c r="M11" s="51"/>
    </row>
    <row r="12" spans="1:13" ht="26.25" customHeight="1" thickBot="1">
      <c r="A12" s="86"/>
      <c r="B12" s="87"/>
      <c r="C12" s="88"/>
      <c r="D12" s="51"/>
      <c r="E12" s="79"/>
      <c r="F12" s="80"/>
      <c r="G12" s="80"/>
      <c r="H12" s="80"/>
      <c r="I12" s="79"/>
      <c r="J12" s="80"/>
      <c r="K12" s="80"/>
      <c r="L12" s="80"/>
      <c r="M12" s="81"/>
    </row>
    <row r="13" spans="1:13" ht="26.25" customHeight="1" thickBot="1">
      <c r="A13" s="89"/>
      <c r="B13" s="90"/>
      <c r="C13" s="91"/>
      <c r="D13" s="51"/>
      <c r="E13" s="28" t="s">
        <v>33</v>
      </c>
      <c r="F13" s="12"/>
      <c r="G13" s="14"/>
      <c r="H13" s="14"/>
      <c r="I13" s="28" t="s">
        <v>55</v>
      </c>
      <c r="J13" s="14"/>
      <c r="K13" s="14"/>
      <c r="L13" s="14"/>
      <c r="M13" s="15"/>
    </row>
    <row r="14" spans="1:13" ht="26.25" customHeight="1" thickBot="1">
      <c r="A14" s="52"/>
      <c r="B14" s="53"/>
      <c r="C14" s="51"/>
      <c r="D14" s="51"/>
      <c r="E14" s="35" t="s">
        <v>44</v>
      </c>
      <c r="F14" s="33">
        <f>(B8/1.205-1)*100</f>
        <v>1144.8132780082985</v>
      </c>
      <c r="G14" s="36" t="s">
        <v>31</v>
      </c>
      <c r="H14" s="20"/>
      <c r="I14" s="95" t="s">
        <v>54</v>
      </c>
      <c r="J14" s="96"/>
      <c r="K14" s="96"/>
      <c r="L14" s="20"/>
      <c r="M14" s="16"/>
    </row>
    <row r="15" spans="1:13" ht="26.25" customHeight="1" thickBot="1">
      <c r="A15" s="52"/>
      <c r="B15" s="53"/>
      <c r="C15" s="51"/>
      <c r="D15" s="51"/>
      <c r="E15" s="18" t="s">
        <v>45</v>
      </c>
      <c r="F15" s="37">
        <v>100</v>
      </c>
      <c r="G15" s="37" t="s">
        <v>31</v>
      </c>
      <c r="H15" s="13"/>
      <c r="I15" s="97"/>
      <c r="J15" s="98"/>
      <c r="K15" s="98"/>
      <c r="L15" s="23"/>
      <c r="M15" s="17"/>
    </row>
    <row r="16" spans="1:13" ht="26.25" customHeight="1" thickBot="1">
      <c r="A16" s="52"/>
      <c r="B16" s="53"/>
      <c r="C16" s="51"/>
      <c r="D16" s="51"/>
      <c r="E16" s="79"/>
      <c r="F16" s="80"/>
      <c r="G16" s="80"/>
      <c r="H16" s="81"/>
      <c r="I16" s="79"/>
      <c r="J16" s="80"/>
      <c r="K16" s="80"/>
      <c r="L16" s="80"/>
      <c r="M16" s="81"/>
    </row>
    <row r="17" spans="1:13" ht="26.25" customHeight="1">
      <c r="A17" s="52"/>
      <c r="B17" s="53"/>
      <c r="C17" s="51"/>
      <c r="D17" s="51"/>
      <c r="E17" s="28" t="s">
        <v>36</v>
      </c>
      <c r="F17" s="12"/>
      <c r="G17" s="14"/>
      <c r="H17" s="15"/>
      <c r="I17" s="28" t="s">
        <v>56</v>
      </c>
      <c r="J17" s="14"/>
      <c r="K17" s="14"/>
      <c r="L17" s="14"/>
      <c r="M17" s="15"/>
    </row>
    <row r="18" spans="1:13" ht="26.25" customHeight="1">
      <c r="A18" s="52"/>
      <c r="B18" s="53"/>
      <c r="C18" s="51"/>
      <c r="D18" s="51"/>
      <c r="E18" s="75" t="s">
        <v>46</v>
      </c>
      <c r="F18" s="77" t="s">
        <v>34</v>
      </c>
      <c r="G18" s="83" t="s">
        <v>35</v>
      </c>
      <c r="H18" s="99"/>
      <c r="I18" s="21" t="s">
        <v>11</v>
      </c>
      <c r="J18" s="3">
        <f>B4/B5</f>
        <v>4.166666666666667</v>
      </c>
      <c r="K18" s="20" t="s">
        <v>57</v>
      </c>
      <c r="L18" s="20"/>
      <c r="M18" s="16"/>
    </row>
    <row r="19" spans="1:13" ht="26.25" customHeight="1">
      <c r="A19" s="51"/>
      <c r="B19" s="51"/>
      <c r="C19" s="51"/>
      <c r="D19" s="51"/>
      <c r="E19" s="76"/>
      <c r="F19" s="78"/>
      <c r="G19" s="83"/>
      <c r="H19" s="99"/>
      <c r="I19" s="21" t="s">
        <v>5</v>
      </c>
      <c r="J19" s="3">
        <f>(2/(J18*J9))*1000000</f>
        <v>524.304</v>
      </c>
      <c r="K19" s="20"/>
      <c r="L19" s="20"/>
      <c r="M19" s="16"/>
    </row>
    <row r="20" spans="1:13" ht="26.25" customHeight="1">
      <c r="A20" s="51"/>
      <c r="B20" s="51"/>
      <c r="C20" s="51"/>
      <c r="D20" s="51"/>
      <c r="E20" s="19" t="s">
        <v>0</v>
      </c>
      <c r="F20" s="20">
        <f>1-(B7/(B4+0.35))</f>
        <v>0.40828402366863914</v>
      </c>
      <c r="G20" s="20"/>
      <c r="H20" s="16"/>
      <c r="I20" s="21" t="s">
        <v>6</v>
      </c>
      <c r="J20" s="3">
        <f>(1/(0.1*J9))*1000000</f>
        <v>10923</v>
      </c>
      <c r="K20" s="20"/>
      <c r="L20" s="20"/>
      <c r="M20" s="16"/>
    </row>
    <row r="21" spans="1:13" ht="26.25" customHeight="1">
      <c r="A21" s="51"/>
      <c r="B21" s="51"/>
      <c r="C21" s="51"/>
      <c r="D21" s="51"/>
      <c r="E21" s="21"/>
      <c r="F21" s="20"/>
      <c r="G21" s="20"/>
      <c r="H21" s="16"/>
      <c r="I21" s="21" t="s">
        <v>7</v>
      </c>
      <c r="J21" s="3">
        <f>(J18*(1-F20)*(1-F20))/(F30*0.000001)</f>
        <v>239130.43478260865</v>
      </c>
      <c r="K21" s="20"/>
      <c r="L21" s="20"/>
      <c r="M21" s="16"/>
    </row>
    <row r="22" spans="1:13" ht="26.25" customHeight="1" thickBot="1">
      <c r="A22" s="51"/>
      <c r="B22" s="51"/>
      <c r="C22" s="51"/>
      <c r="D22" s="51"/>
      <c r="E22" s="22"/>
      <c r="F22" s="23"/>
      <c r="G22" s="23"/>
      <c r="H22" s="17"/>
      <c r="I22" s="21" t="s">
        <v>8</v>
      </c>
      <c r="J22" s="63" t="str">
        <f>IF(J45&gt;=30000,"30000",J45)</f>
        <v>30000</v>
      </c>
      <c r="K22" s="20"/>
      <c r="L22" s="20"/>
      <c r="M22" s="16"/>
    </row>
    <row r="23" spans="1:24" ht="26.25" customHeight="1" thickBot="1">
      <c r="A23" s="51"/>
      <c r="B23" s="51"/>
      <c r="C23" s="51"/>
      <c r="D23" s="51"/>
      <c r="E23" s="79"/>
      <c r="F23" s="80"/>
      <c r="G23" s="80"/>
      <c r="H23" s="80"/>
      <c r="I23" s="29" t="s">
        <v>1</v>
      </c>
      <c r="J23" s="61">
        <f>(33000/(SQRT(((J22*J22)/(J19*J19))+2)))</f>
        <v>576.5583237545125</v>
      </c>
      <c r="K23" s="31" t="s">
        <v>65</v>
      </c>
      <c r="L23" s="20" t="s">
        <v>60</v>
      </c>
      <c r="M23" s="16"/>
      <c r="P23" s="6"/>
      <c r="Q23" s="6"/>
      <c r="R23" s="6"/>
      <c r="S23" s="6"/>
      <c r="T23" s="6"/>
      <c r="U23" s="6"/>
      <c r="V23" s="6"/>
      <c r="W23" s="6"/>
      <c r="X23" s="6"/>
    </row>
    <row r="24" spans="1:24" ht="26.25" customHeight="1">
      <c r="A24" s="51"/>
      <c r="B24" s="51"/>
      <c r="C24" s="51"/>
      <c r="D24" s="51"/>
      <c r="E24" s="28" t="s">
        <v>37</v>
      </c>
      <c r="F24" s="12"/>
      <c r="G24" s="14"/>
      <c r="H24" s="14"/>
      <c r="I24" s="29" t="s">
        <v>2</v>
      </c>
      <c r="J24" s="61">
        <f>(1/(J23*J19))*1000000</f>
        <v>3.308061558296012</v>
      </c>
      <c r="K24" s="31" t="s">
        <v>20</v>
      </c>
      <c r="L24" s="20" t="s">
        <v>61</v>
      </c>
      <c r="M24" s="16"/>
      <c r="P24" s="6"/>
      <c r="Q24" s="6"/>
      <c r="R24" s="6"/>
      <c r="S24" s="6"/>
      <c r="T24" s="6"/>
      <c r="U24" s="6"/>
      <c r="V24" s="6"/>
      <c r="W24" s="6"/>
      <c r="X24" s="6"/>
    </row>
    <row r="25" spans="1:24" ht="26.25" customHeight="1" thickBot="1">
      <c r="A25" s="51"/>
      <c r="B25" s="51"/>
      <c r="C25" s="51"/>
      <c r="D25" s="51"/>
      <c r="E25" s="35" t="s">
        <v>18</v>
      </c>
      <c r="F25" s="36">
        <f>1.8*(B5/(1-F21))</f>
        <v>10.8</v>
      </c>
      <c r="G25" s="36" t="s">
        <v>14</v>
      </c>
      <c r="H25" s="20"/>
      <c r="I25" s="32" t="s">
        <v>3</v>
      </c>
      <c r="J25" s="62">
        <f>(1/(J23*J20))*1000000000</f>
        <v>158.78695479820857</v>
      </c>
      <c r="K25" s="34" t="s">
        <v>4</v>
      </c>
      <c r="L25" s="23" t="s">
        <v>61</v>
      </c>
      <c r="M25" s="17"/>
      <c r="P25" s="6"/>
      <c r="Q25" s="6"/>
      <c r="R25" s="6"/>
      <c r="S25" s="6"/>
      <c r="T25" s="6"/>
      <c r="U25" s="6"/>
      <c r="V25" s="6"/>
      <c r="W25" s="6"/>
      <c r="X25" s="6"/>
    </row>
    <row r="26" spans="1:24" ht="19.5" customHeight="1" thickBot="1">
      <c r="A26" s="51"/>
      <c r="B26" s="51"/>
      <c r="C26" s="51"/>
      <c r="D26" s="51"/>
      <c r="E26" s="18" t="s">
        <v>19</v>
      </c>
      <c r="F26" s="37">
        <f>(B5/(1-F20))</f>
        <v>10.140000000000002</v>
      </c>
      <c r="G26" s="37" t="s">
        <v>14</v>
      </c>
      <c r="H26" s="13"/>
      <c r="I26" s="51"/>
      <c r="J26" s="51"/>
      <c r="K26" s="51"/>
      <c r="L26" s="51"/>
      <c r="M26" s="51"/>
      <c r="P26" s="6"/>
      <c r="Q26" s="6"/>
      <c r="R26" s="6"/>
      <c r="S26" s="6"/>
      <c r="T26" s="6"/>
      <c r="U26" s="6"/>
      <c r="V26" s="6"/>
      <c r="W26" s="6"/>
      <c r="X26" s="6"/>
    </row>
    <row r="27" spans="1:24" ht="19.5" customHeight="1" thickBot="1">
      <c r="A27" s="51"/>
      <c r="B27" s="51"/>
      <c r="C27" s="51"/>
      <c r="D27" s="51"/>
      <c r="E27" s="79"/>
      <c r="F27" s="80"/>
      <c r="G27" s="80"/>
      <c r="H27" s="81"/>
      <c r="I27" s="51"/>
      <c r="J27" s="51"/>
      <c r="K27" s="51"/>
      <c r="L27" s="51"/>
      <c r="M27" s="51"/>
      <c r="P27" s="6"/>
      <c r="Q27" s="6"/>
      <c r="R27" s="6"/>
      <c r="S27" s="6"/>
      <c r="T27" s="6"/>
      <c r="U27" s="6"/>
      <c r="V27" s="6"/>
      <c r="W27" s="6"/>
      <c r="X27" s="6"/>
    </row>
    <row r="28" spans="1:24" ht="19.5" customHeight="1">
      <c r="A28" s="51"/>
      <c r="B28" s="51"/>
      <c r="C28" s="51"/>
      <c r="D28" s="51"/>
      <c r="E28" s="28" t="s">
        <v>38</v>
      </c>
      <c r="F28" s="12"/>
      <c r="G28" s="14"/>
      <c r="H28" s="15"/>
      <c r="I28" s="51"/>
      <c r="J28" s="51"/>
      <c r="K28" s="51"/>
      <c r="L28" s="51"/>
      <c r="M28" s="51"/>
      <c r="P28" s="6"/>
      <c r="Q28" s="6"/>
      <c r="R28" s="6"/>
      <c r="S28" s="6"/>
      <c r="T28" s="6"/>
      <c r="U28" s="6"/>
      <c r="V28" s="6"/>
      <c r="W28" s="6"/>
      <c r="X28" s="6"/>
    </row>
    <row r="29" spans="1:24" ht="19.5" customHeight="1">
      <c r="A29" s="51"/>
      <c r="B29" s="51"/>
      <c r="C29" s="51"/>
      <c r="D29" s="51"/>
      <c r="E29" s="21" t="s">
        <v>58</v>
      </c>
      <c r="F29" s="27">
        <f>0.3*(B5/(1-F20))</f>
        <v>3.0420000000000007</v>
      </c>
      <c r="G29" s="20"/>
      <c r="H29" s="16"/>
      <c r="I29" s="51"/>
      <c r="J29" s="51"/>
      <c r="K29" s="51"/>
      <c r="L29" s="51"/>
      <c r="M29" s="51"/>
      <c r="P29" s="6"/>
      <c r="Q29" s="6"/>
      <c r="R29" s="6"/>
      <c r="S29" s="6"/>
      <c r="T29" s="6"/>
      <c r="U29" s="6"/>
      <c r="V29" s="6"/>
      <c r="W29" s="6"/>
      <c r="X29" s="6"/>
    </row>
    <row r="30" spans="1:24" ht="19.5" customHeight="1" thickBot="1">
      <c r="A30" s="51"/>
      <c r="B30" s="51"/>
      <c r="C30" s="51"/>
      <c r="D30" s="51"/>
      <c r="E30" s="38" t="s">
        <v>41</v>
      </c>
      <c r="F30" s="39">
        <f>((B7*F20)/(330000*F29))*1000000</f>
        <v>6.100711608221849</v>
      </c>
      <c r="G30" s="40" t="s">
        <v>12</v>
      </c>
      <c r="H30" s="17" t="s">
        <v>39</v>
      </c>
      <c r="I30" s="51"/>
      <c r="J30" s="51"/>
      <c r="K30" s="51"/>
      <c r="L30" s="51"/>
      <c r="M30" s="51"/>
      <c r="P30" s="6"/>
      <c r="Q30" s="6"/>
      <c r="R30" s="6"/>
      <c r="S30" s="6"/>
      <c r="T30" s="6"/>
      <c r="U30" s="6"/>
      <c r="V30" s="6"/>
      <c r="W30" s="6"/>
      <c r="X30" s="6"/>
    </row>
    <row r="31" spans="1:24" ht="19.5" customHeight="1" thickBot="1">
      <c r="A31" s="51"/>
      <c r="B31" s="51"/>
      <c r="C31" s="51"/>
      <c r="D31" s="51"/>
      <c r="E31" s="24"/>
      <c r="F31" s="25"/>
      <c r="G31" s="25"/>
      <c r="H31" s="26"/>
      <c r="I31" s="51"/>
      <c r="J31" s="51"/>
      <c r="K31" s="51"/>
      <c r="L31" s="51"/>
      <c r="M31" s="51"/>
      <c r="P31" s="6"/>
      <c r="Q31" s="6"/>
      <c r="R31" s="6"/>
      <c r="S31" s="3"/>
      <c r="T31" s="3"/>
      <c r="U31" s="3"/>
      <c r="V31" s="3"/>
      <c r="W31" s="3"/>
      <c r="X31" s="3"/>
    </row>
    <row r="32" spans="1:13" ht="19.5" customHeight="1">
      <c r="A32" s="51"/>
      <c r="B32" s="51"/>
      <c r="C32" s="51"/>
      <c r="D32" s="51"/>
      <c r="E32" s="28" t="s">
        <v>67</v>
      </c>
      <c r="F32" s="12"/>
      <c r="G32" s="14"/>
      <c r="H32" s="15"/>
      <c r="I32" s="51"/>
      <c r="J32" s="51"/>
      <c r="K32" s="51"/>
      <c r="L32" s="51"/>
      <c r="M32" s="51"/>
    </row>
    <row r="33" spans="1:16" ht="24" customHeight="1">
      <c r="A33" s="51"/>
      <c r="B33" s="51"/>
      <c r="C33" s="51"/>
      <c r="D33" s="51"/>
      <c r="E33" s="64" t="s">
        <v>68</v>
      </c>
      <c r="F33" s="41">
        <f>0.8*(1-F20)/(10*B5)</f>
        <v>0.007889546351084813</v>
      </c>
      <c r="G33" s="42" t="s">
        <v>30</v>
      </c>
      <c r="H33" s="16"/>
      <c r="I33" s="51"/>
      <c r="J33" s="51"/>
      <c r="K33" s="51"/>
      <c r="L33" s="51"/>
      <c r="M33" s="51"/>
      <c r="P33" s="7"/>
    </row>
    <row r="34" spans="1:13" ht="19.5" customHeight="1">
      <c r="A34" s="51"/>
      <c r="B34" s="51"/>
      <c r="C34" s="51"/>
      <c r="D34" s="51"/>
      <c r="E34" s="64" t="s">
        <v>68</v>
      </c>
      <c r="F34" s="43">
        <f>(0.8*0.11*F30)/(B4+0.3-B7)</f>
        <v>0.05212258461393425</v>
      </c>
      <c r="G34" s="44" t="s">
        <v>40</v>
      </c>
      <c r="H34" s="16"/>
      <c r="I34" s="51"/>
      <c r="J34" s="51"/>
      <c r="K34" s="51"/>
      <c r="L34" s="51"/>
      <c r="M34" s="51"/>
    </row>
    <row r="35" spans="1:13" ht="19.5" customHeight="1">
      <c r="A35" s="51"/>
      <c r="B35" s="51"/>
      <c r="C35" s="51"/>
      <c r="D35" s="51"/>
      <c r="E35" s="45" t="s">
        <v>48</v>
      </c>
      <c r="F35" s="46"/>
      <c r="G35" s="46"/>
      <c r="H35" s="47"/>
      <c r="I35" s="51"/>
      <c r="J35" s="51"/>
      <c r="K35" s="51"/>
      <c r="L35" s="51"/>
      <c r="M35" s="51"/>
    </row>
    <row r="36" spans="1:13" ht="19.5" customHeight="1">
      <c r="A36" s="51"/>
      <c r="B36" s="51"/>
      <c r="C36" s="51"/>
      <c r="D36" s="51"/>
      <c r="E36" s="45" t="s">
        <v>66</v>
      </c>
      <c r="F36" s="46"/>
      <c r="G36" s="46"/>
      <c r="H36" s="47"/>
      <c r="I36" s="51"/>
      <c r="J36" s="51"/>
      <c r="K36" s="51"/>
      <c r="L36" s="51"/>
      <c r="M36" s="51"/>
    </row>
    <row r="37" spans="1:13" ht="19.5" customHeight="1" thickBot="1">
      <c r="A37" s="51"/>
      <c r="B37" s="51"/>
      <c r="C37" s="51"/>
      <c r="D37" s="51"/>
      <c r="E37" s="48" t="s">
        <v>47</v>
      </c>
      <c r="F37" s="49"/>
      <c r="G37" s="49"/>
      <c r="H37" s="50"/>
      <c r="I37" s="51"/>
      <c r="J37" s="51"/>
      <c r="K37" s="51"/>
      <c r="L37" s="51"/>
      <c r="M37" s="51"/>
    </row>
    <row r="38" spans="5:8" ht="19.5" customHeight="1">
      <c r="E38" s="1"/>
      <c r="F38" s="1"/>
      <c r="G38" s="1"/>
      <c r="H38" s="1"/>
    </row>
    <row r="39" spans="5:8" ht="19.5" customHeight="1">
      <c r="E39" s="1"/>
      <c r="F39" s="1"/>
      <c r="G39" s="1"/>
      <c r="H39" s="1"/>
    </row>
    <row r="40" spans="5:8" ht="19.5" customHeight="1">
      <c r="E40" s="1"/>
      <c r="F40" s="1"/>
      <c r="G40" s="1"/>
      <c r="H40" s="1"/>
    </row>
    <row r="41" spans="5:8" ht="19.5" customHeight="1">
      <c r="E41" s="1"/>
      <c r="F41" s="1"/>
      <c r="G41" s="1"/>
      <c r="H41" s="1"/>
    </row>
    <row r="42" spans="5:8" ht="19.5" customHeight="1">
      <c r="E42" s="1"/>
      <c r="F42" s="1"/>
      <c r="G42" s="1"/>
      <c r="H42" s="1"/>
    </row>
    <row r="43" spans="5:8" ht="19.5" customHeight="1">
      <c r="E43" s="1"/>
      <c r="F43" s="1"/>
      <c r="G43" s="1"/>
      <c r="H43" s="1"/>
    </row>
    <row r="44" spans="5:8" ht="19.5" customHeight="1">
      <c r="E44" s="1"/>
      <c r="F44" s="1"/>
      <c r="G44" s="1"/>
      <c r="H44" s="1"/>
    </row>
    <row r="45" spans="5:10" ht="19.5" customHeight="1">
      <c r="E45" s="1"/>
      <c r="F45" s="1"/>
      <c r="G45" s="1"/>
      <c r="H45" s="1"/>
      <c r="J45">
        <f>0.35*J21</f>
        <v>83695.65217391303</v>
      </c>
    </row>
    <row r="46" spans="5:8" ht="19.5" customHeight="1">
      <c r="E46" s="1"/>
      <c r="F46" s="1"/>
      <c r="G46" s="1"/>
      <c r="H46" s="1"/>
    </row>
    <row r="47" spans="5:8" ht="19.5" customHeight="1">
      <c r="E47" s="1"/>
      <c r="F47" s="1"/>
      <c r="G47" s="1"/>
      <c r="H47" s="1"/>
    </row>
    <row r="48" spans="5:8" ht="19.5" customHeight="1"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3:8" ht="19.5" customHeight="1">
      <c r="C51" s="1"/>
      <c r="D51" s="1"/>
      <c r="E51" s="1"/>
      <c r="F51" s="1"/>
      <c r="G51" s="1"/>
      <c r="H51" s="1"/>
    </row>
    <row r="52" spans="1:8" ht="19.5" customHeight="1">
      <c r="A52" s="1"/>
      <c r="B52" s="2"/>
      <c r="C52" s="1"/>
      <c r="D52" s="1"/>
      <c r="E52" s="1"/>
      <c r="F52" s="1"/>
      <c r="G52" s="1"/>
      <c r="H52" s="1"/>
    </row>
    <row r="53" spans="1:8" ht="18" customHeight="1">
      <c r="A53" s="1"/>
      <c r="B53" s="2"/>
      <c r="C53" s="1"/>
      <c r="D53" s="1"/>
      <c r="E53" s="1"/>
      <c r="F53" s="1"/>
      <c r="G53" s="1"/>
      <c r="H53" s="1"/>
    </row>
    <row r="54" spans="1:8" ht="15.75" customHeight="1">
      <c r="A54" s="1"/>
      <c r="B54" s="2"/>
      <c r="C54" s="1"/>
      <c r="D54" s="1"/>
      <c r="E54" s="1"/>
      <c r="F54" s="1"/>
      <c r="G54" s="1"/>
      <c r="H54" s="1"/>
    </row>
  </sheetData>
  <sheetProtection/>
  <mergeCells count="23">
    <mergeCell ref="I14:K15"/>
    <mergeCell ref="E16:H16"/>
    <mergeCell ref="I16:M16"/>
    <mergeCell ref="E27:H27"/>
    <mergeCell ref="E23:H23"/>
    <mergeCell ref="G18:H19"/>
    <mergeCell ref="F18:F19"/>
    <mergeCell ref="E18:E19"/>
    <mergeCell ref="A10:B10"/>
    <mergeCell ref="A12:C12"/>
    <mergeCell ref="E12:H12"/>
    <mergeCell ref="I12:M12"/>
    <mergeCell ref="A13:C13"/>
    <mergeCell ref="A9:C9"/>
    <mergeCell ref="A1:M1"/>
    <mergeCell ref="A2:C3"/>
    <mergeCell ref="I4:M4"/>
    <mergeCell ref="E5:H5"/>
    <mergeCell ref="E7:E8"/>
    <mergeCell ref="F7:F8"/>
    <mergeCell ref="I7:M7"/>
    <mergeCell ref="H7:H8"/>
    <mergeCell ref="G7:G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2022-09-20T11:29:12Z</dcterms:modified>
  <cp:category/>
  <cp:version/>
  <cp:contentType/>
  <cp:contentStatus/>
</cp:coreProperties>
</file>